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05" yWindow="30" windowWidth="13620" windowHeight="7215"/>
  </bookViews>
  <sheets>
    <sheet name="Tistrup og Lykkesgård" sheetId="62" r:id="rId1"/>
  </sheets>
  <calcPr calcId="145621"/>
</workbook>
</file>

<file path=xl/calcChain.xml><?xml version="1.0" encoding="utf-8"?>
<calcChain xmlns="http://schemas.openxmlformats.org/spreadsheetml/2006/main">
  <c r="M42" i="62" l="1"/>
  <c r="H42" i="62"/>
  <c r="K51" i="62"/>
  <c r="P51" i="62"/>
  <c r="P49" i="62"/>
  <c r="K49" i="62"/>
  <c r="B39" i="62" l="1"/>
  <c r="B15" i="62" l="1"/>
  <c r="B28" i="62"/>
  <c r="M43" i="62" l="1"/>
  <c r="H30" i="62"/>
  <c r="M30" i="62" s="1"/>
  <c r="Q30" i="62" s="1"/>
  <c r="P10" i="62"/>
  <c r="O13" i="62"/>
  <c r="O12" i="62"/>
  <c r="M15" i="62"/>
  <c r="M14" i="62"/>
  <c r="M13" i="62"/>
  <c r="M12" i="62"/>
  <c r="O7" i="62"/>
  <c r="M4" i="62"/>
  <c r="M5" i="62"/>
  <c r="M6" i="62"/>
  <c r="M7" i="62"/>
  <c r="M8" i="62"/>
  <c r="M9" i="62"/>
  <c r="M10" i="62"/>
  <c r="M3" i="62"/>
  <c r="B26" i="62" l="1"/>
  <c r="G26" i="62" s="1"/>
  <c r="H26" i="62"/>
  <c r="M26" i="62" s="1"/>
  <c r="L24" i="62"/>
  <c r="Q24" i="62" l="1"/>
  <c r="C48" i="62"/>
  <c r="M48" i="62" s="1"/>
  <c r="C47" i="62"/>
  <c r="C46" i="62"/>
  <c r="C45" i="62"/>
  <c r="M45" i="62" s="1"/>
  <c r="C44" i="62"/>
  <c r="H43" i="62"/>
  <c r="H44" i="62" l="1"/>
  <c r="M44" i="62"/>
  <c r="H46" i="62"/>
  <c r="M46" i="62"/>
  <c r="H47" i="62"/>
  <c r="M47" i="62"/>
  <c r="H45" i="62"/>
  <c r="H48" i="62"/>
  <c r="L30" i="62"/>
  <c r="G30" i="62"/>
  <c r="X17" i="62"/>
  <c r="S16" i="62"/>
  <c r="S17" i="62" s="1"/>
  <c r="H16" i="62"/>
  <c r="C16" i="62"/>
  <c r="T15" i="62"/>
  <c r="I15" i="62"/>
  <c r="D15" i="62"/>
  <c r="E15" i="62" s="1"/>
  <c r="T14" i="62"/>
  <c r="I14" i="62"/>
  <c r="D14" i="62"/>
  <c r="E14" i="62" s="1"/>
  <c r="O14" i="62" s="1"/>
  <c r="B14" i="62"/>
  <c r="T13" i="62"/>
  <c r="I13" i="62"/>
  <c r="D13" i="62"/>
  <c r="B13" i="62"/>
  <c r="I12" i="62"/>
  <c r="D12" i="62"/>
  <c r="B12" i="62"/>
  <c r="H11" i="62"/>
  <c r="C11" i="62"/>
  <c r="I9" i="62"/>
  <c r="D9" i="62"/>
  <c r="E9" i="62" s="1"/>
  <c r="O9" i="62" s="1"/>
  <c r="B9" i="62"/>
  <c r="I8" i="62"/>
  <c r="D8" i="62"/>
  <c r="E8" i="62" s="1"/>
  <c r="O8" i="62" s="1"/>
  <c r="B8" i="62"/>
  <c r="I7" i="62"/>
  <c r="D7" i="62"/>
  <c r="B7" i="62"/>
  <c r="I6" i="62"/>
  <c r="D6" i="62"/>
  <c r="E6" i="62" s="1"/>
  <c r="O6" i="62" s="1"/>
  <c r="B6" i="62"/>
  <c r="I5" i="62"/>
  <c r="D5" i="62"/>
  <c r="E5" i="62" s="1"/>
  <c r="O5" i="62" s="1"/>
  <c r="B5" i="62"/>
  <c r="I4" i="62"/>
  <c r="D4" i="62"/>
  <c r="E4" i="62" s="1"/>
  <c r="O4" i="62" s="1"/>
  <c r="B4" i="62"/>
  <c r="I3" i="62"/>
  <c r="D3" i="62"/>
  <c r="E3" i="62" s="1"/>
  <c r="O3" i="62" s="1"/>
  <c r="B3" i="62"/>
  <c r="O15" i="62" l="1"/>
  <c r="D44" i="62"/>
  <c r="E44" i="62" s="1"/>
  <c r="I45" i="62"/>
  <c r="J45" i="62" s="1"/>
  <c r="D45" i="62"/>
  <c r="E45" i="62" s="1"/>
  <c r="I46" i="62"/>
  <c r="J46" i="62" s="1"/>
  <c r="I47" i="62"/>
  <c r="J47" i="62" s="1"/>
  <c r="K15" i="62"/>
  <c r="D47" i="62"/>
  <c r="E47" i="62" s="1"/>
  <c r="I48" i="62"/>
  <c r="J48" i="62" s="1"/>
  <c r="I43" i="62"/>
  <c r="I44" i="62"/>
  <c r="J44" i="62" s="1"/>
  <c r="D43" i="62"/>
  <c r="F8" i="62"/>
  <c r="D46" i="62"/>
  <c r="E46" i="62" s="1"/>
  <c r="D48" i="62"/>
  <c r="E48" i="62" s="1"/>
  <c r="C17" i="62"/>
  <c r="C27" i="62" s="1"/>
  <c r="K12" i="62"/>
  <c r="F3" i="62"/>
  <c r="F4" i="62"/>
  <c r="K5" i="62"/>
  <c r="F6" i="62"/>
  <c r="F9" i="62"/>
  <c r="F15" i="62"/>
  <c r="P15" i="62" s="1"/>
  <c r="K6" i="62"/>
  <c r="K4" i="62"/>
  <c r="F5" i="62"/>
  <c r="K13" i="62"/>
  <c r="M11" i="62"/>
  <c r="T11" i="62" s="1"/>
  <c r="K7" i="62"/>
  <c r="K8" i="62"/>
  <c r="F13" i="62"/>
  <c r="P13" i="62" s="1"/>
  <c r="F14" i="62"/>
  <c r="K14" i="62"/>
  <c r="J11" i="62"/>
  <c r="K3" i="62"/>
  <c r="E11" i="62"/>
  <c r="F7" i="62"/>
  <c r="P7" i="62" s="1"/>
  <c r="T16" i="62"/>
  <c r="K9" i="62"/>
  <c r="E16" i="62"/>
  <c r="F12" i="62"/>
  <c r="P12" i="62" s="1"/>
  <c r="M16" i="62"/>
  <c r="J16" i="62"/>
  <c r="H17" i="62"/>
  <c r="H27" i="62" l="1"/>
  <c r="H28" i="62" s="1"/>
  <c r="L28" i="62" s="1"/>
  <c r="H39" i="62"/>
  <c r="P6" i="62"/>
  <c r="P5" i="62"/>
  <c r="P4" i="62"/>
  <c r="P9" i="62"/>
  <c r="P3" i="62"/>
  <c r="P8" i="62"/>
  <c r="P14" i="62"/>
  <c r="N47" i="62"/>
  <c r="J17" i="62"/>
  <c r="N44" i="62"/>
  <c r="N45" i="62"/>
  <c r="I49" i="62"/>
  <c r="J43" i="62"/>
  <c r="J49" i="62" s="1"/>
  <c r="N46" i="62"/>
  <c r="N48" i="62"/>
  <c r="N43" i="62"/>
  <c r="E43" i="62"/>
  <c r="E49" i="62" s="1"/>
  <c r="E51" i="62" s="1"/>
  <c r="D49" i="62"/>
  <c r="F11" i="62"/>
  <c r="K16" i="62"/>
  <c r="O11" i="62"/>
  <c r="F16" i="62"/>
  <c r="K11" i="62"/>
  <c r="O16" i="62"/>
  <c r="M17" i="62"/>
  <c r="G39" i="62" s="1"/>
  <c r="E17" i="62"/>
  <c r="G38" i="62" s="1"/>
  <c r="M27" i="62" l="1"/>
  <c r="M28" i="62"/>
  <c r="M39" i="62"/>
  <c r="L39" i="62"/>
  <c r="Q39" i="62" s="1"/>
  <c r="G54" i="62"/>
  <c r="G55" i="62" s="1"/>
  <c r="G28" i="62"/>
  <c r="L27" i="62"/>
  <c r="J18" i="62"/>
  <c r="L38" i="62"/>
  <c r="L26" i="62"/>
  <c r="Q26" i="62" s="1"/>
  <c r="J51" i="62"/>
  <c r="L51" i="62" s="1"/>
  <c r="G51" i="62"/>
  <c r="N49" i="62"/>
  <c r="K17" i="62"/>
  <c r="L22" i="62" s="1"/>
  <c r="F17" i="62"/>
  <c r="G22" i="62" s="1"/>
  <c r="P11" i="62"/>
  <c r="E18" i="62"/>
  <c r="O17" i="62"/>
  <c r="P16" i="62"/>
  <c r="T17" i="62"/>
  <c r="Z17" i="62" s="1"/>
  <c r="L54" i="62" l="1"/>
  <c r="Q38" i="62"/>
  <c r="L55" i="62"/>
  <c r="L56" i="62" s="1"/>
  <c r="Q28" i="62"/>
  <c r="G56" i="62"/>
  <c r="O18" i="62"/>
  <c r="P17" i="62"/>
  <c r="Q22" i="62" l="1"/>
  <c r="G27" i="62" l="1"/>
  <c r="G32" i="62" s="1"/>
  <c r="G33" i="62" s="1"/>
  <c r="L32" i="62" l="1"/>
  <c r="L33" i="62" s="1"/>
  <c r="G35" i="62"/>
  <c r="Q27" i="62"/>
  <c r="Q32" i="62" s="1"/>
  <c r="L35" i="62" l="1"/>
  <c r="Q33" i="62"/>
  <c r="Q35" i="62" s="1"/>
  <c r="O43" i="62"/>
  <c r="O46" i="62"/>
  <c r="O44" i="62"/>
  <c r="O47" i="62" l="1"/>
  <c r="O48" i="62" l="1"/>
  <c r="O45" i="62"/>
  <c r="O49" i="62" l="1"/>
  <c r="O51" i="62" l="1"/>
  <c r="Q51" i="62" s="1"/>
  <c r="Q54" i="62" s="1"/>
  <c r="Q55" i="62" s="1"/>
  <c r="Q56" i="62" s="1"/>
</calcChain>
</file>

<file path=xl/comments1.xml><?xml version="1.0" encoding="utf-8"?>
<comments xmlns="http://schemas.openxmlformats.org/spreadsheetml/2006/main">
  <authors>
    <author>Jette Poulsen</author>
  </authors>
  <commentList>
    <comment ref="G38" authorId="0">
      <text>
        <r>
          <rPr>
            <b/>
            <sz val="9"/>
            <color indexed="81"/>
            <rFont val="Tahoma"/>
            <charset val="1"/>
          </rPr>
          <t>Jette Poulsen:</t>
        </r>
        <r>
          <rPr>
            <sz val="9"/>
            <color indexed="81"/>
            <rFont val="Tahoma"/>
            <charset val="1"/>
          </rPr>
          <t xml:space="preserve">
Nuværende tildeling til pædagoger fratrækkes med 100%  antal pædagoger vedr. understøttende undervisning og omregnes til faktor pr. klasse.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Nuværende tildeling reduceret med ½ tilldeling til understøttende omregnet til faktor pr. klasse 
</t>
        </r>
      </text>
    </comment>
  </commentList>
</comments>
</file>

<file path=xl/sharedStrings.xml><?xml version="1.0" encoding="utf-8"?>
<sst xmlns="http://schemas.openxmlformats.org/spreadsheetml/2006/main" count="78" uniqueCount="63">
  <si>
    <t>2. klasse</t>
  </si>
  <si>
    <t>3. klasse</t>
  </si>
  <si>
    <t>4. klasse</t>
  </si>
  <si>
    <t>5. klasse</t>
  </si>
  <si>
    <t>6. klasse</t>
  </si>
  <si>
    <t>7. klasse</t>
  </si>
  <si>
    <t>8. klasse</t>
  </si>
  <si>
    <t>9. klasse</t>
  </si>
  <si>
    <t>10. klasse</t>
  </si>
  <si>
    <t>Ialt 0.-10. Klasse</t>
  </si>
  <si>
    <t>1. Klasse</t>
  </si>
  <si>
    <t>0. klasse</t>
  </si>
  <si>
    <t>Antal kl.</t>
  </si>
  <si>
    <t xml:space="preserve">Antal elever pr. kl. </t>
  </si>
  <si>
    <t>Antal klasserafrundet</t>
  </si>
  <si>
    <r>
      <t>Lektioner ialt varde-</t>
    </r>
    <r>
      <rPr>
        <b/>
        <sz val="10"/>
        <rFont val="Arial"/>
        <family val="2"/>
      </rPr>
      <t>vejl.</t>
    </r>
  </si>
  <si>
    <t>pr. uge</t>
  </si>
  <si>
    <t>Stillinger:</t>
  </si>
  <si>
    <t>Ledelse</t>
  </si>
  <si>
    <t>Antal lektioner</t>
  </si>
  <si>
    <t>Lektioner i alt omregnet i stillinger</t>
  </si>
  <si>
    <t>kl.</t>
  </si>
  <si>
    <t xml:space="preserve">I i alt </t>
  </si>
  <si>
    <t>Sygdoms- og barselspuljen</t>
  </si>
  <si>
    <t>Afvigelse</t>
  </si>
  <si>
    <t>Skovlund friskole</t>
  </si>
  <si>
    <t>Ølgod Kr. Friskole</t>
  </si>
  <si>
    <t>klasser</t>
  </si>
  <si>
    <t>(model 10.4)</t>
  </si>
  <si>
    <t>Efter sparekatalog</t>
  </si>
  <si>
    <t>I forhold til 5/9-2011</t>
  </si>
  <si>
    <t>0. - 6. klasse</t>
  </si>
  <si>
    <t>7. - 10. klasse</t>
  </si>
  <si>
    <t>0. - 2. kl.</t>
  </si>
  <si>
    <t>3. kl</t>
  </si>
  <si>
    <t>4. kl</t>
  </si>
  <si>
    <t>5. - 6. kl</t>
  </si>
  <si>
    <t>7.-8. kl</t>
  </si>
  <si>
    <t>9.-10</t>
  </si>
  <si>
    <t>timer</t>
  </si>
  <si>
    <t>Omregningsfaktor</t>
  </si>
  <si>
    <t>Sygdoms- og barsel</t>
  </si>
  <si>
    <t>Omregnet til klokketimer</t>
  </si>
  <si>
    <t>Fagopdelte lektioner + ½ understøttende</t>
  </si>
  <si>
    <t>Elevbaseret tildeling</t>
  </si>
  <si>
    <t>Antal lærerstillinger i alt</t>
  </si>
  <si>
    <t>Lærerstilling i alt</t>
  </si>
  <si>
    <t>Pædagogstillinger i alt</t>
  </si>
  <si>
    <t xml:space="preserve">Faktiske elevtal pr. 5/9-2013 </t>
  </si>
  <si>
    <t>aldersreduktion</t>
  </si>
  <si>
    <t xml:space="preserve">Lektioner ialt </t>
  </si>
  <si>
    <t>Herudover tillægges:</t>
  </si>
  <si>
    <t>Grundtildeling</t>
  </si>
  <si>
    <t>Tistrup</t>
  </si>
  <si>
    <t>Pædagoger</t>
  </si>
  <si>
    <t>Lykkesgård</t>
  </si>
  <si>
    <t>Pædagogtid:</t>
  </si>
  <si>
    <t>Faktor pr. klasse</t>
  </si>
  <si>
    <t>Udkast til Model A - ny skolereform - specialklasser</t>
  </si>
  <si>
    <t>Understøttende undervisning:</t>
  </si>
  <si>
    <t>*Elevbaseret tildeling</t>
  </si>
  <si>
    <t>* fordeles med 50% lærertid og 50% pædagogtid</t>
  </si>
  <si>
    <t>lekt.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</si>
</sst>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00"/>
    <numFmt numFmtId="167" formatCode="0.0000"/>
    <numFmt numFmtId="168" formatCode="0.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2" xfId="0" applyBorder="1"/>
    <xf numFmtId="0" fontId="0" fillId="0" borderId="0" xfId="0" applyBorder="1"/>
    <xf numFmtId="0" fontId="4" fillId="0" borderId="1" xfId="0" applyFont="1" applyBorder="1"/>
    <xf numFmtId="0" fontId="0" fillId="0" borderId="0" xfId="0" applyAlignment="1">
      <alignment textRotation="90"/>
    </xf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4" xfId="0" applyBorder="1" applyAlignment="1">
      <alignment textRotation="90"/>
    </xf>
    <xf numFmtId="2" fontId="0" fillId="0" borderId="0" xfId="0" applyNumberFormat="1" applyBorder="1"/>
    <xf numFmtId="2" fontId="0" fillId="0" borderId="9" xfId="0" applyNumberFormat="1" applyBorder="1"/>
    <xf numFmtId="2" fontId="0" fillId="0" borderId="3" xfId="0" applyNumberFormat="1" applyBorder="1"/>
    <xf numFmtId="164" fontId="0" fillId="0" borderId="4" xfId="0" applyNumberFormat="1" applyBorder="1" applyAlignment="1">
      <alignment textRotation="90"/>
    </xf>
    <xf numFmtId="164" fontId="0" fillId="0" borderId="0" xfId="0" applyNumberFormat="1" applyBorder="1"/>
    <xf numFmtId="164" fontId="0" fillId="0" borderId="8" xfId="0" applyNumberForma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 textRotation="90"/>
    </xf>
    <xf numFmtId="0" fontId="4" fillId="0" borderId="0" xfId="0" applyFont="1" applyBorder="1"/>
    <xf numFmtId="2" fontId="5" fillId="0" borderId="15" xfId="0" applyNumberFormat="1" applyFont="1" applyBorder="1"/>
    <xf numFmtId="2" fontId="5" fillId="0" borderId="7" xfId="0" applyNumberFormat="1" applyFont="1" applyBorder="1"/>
    <xf numFmtId="2" fontId="5" fillId="0" borderId="16" xfId="0" applyNumberFormat="1" applyFont="1" applyBorder="1"/>
    <xf numFmtId="2" fontId="5" fillId="0" borderId="17" xfId="0" applyNumberFormat="1" applyFont="1" applyBorder="1"/>
    <xf numFmtId="2" fontId="0" fillId="0" borderId="19" xfId="0" applyNumberFormat="1" applyBorder="1"/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 wrapText="1"/>
    </xf>
    <xf numFmtId="2" fontId="0" fillId="0" borderId="22" xfId="0" applyNumberFormat="1" applyBorder="1"/>
    <xf numFmtId="0" fontId="1" fillId="2" borderId="5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0" xfId="0" applyNumberFormat="1" applyFill="1" applyBorder="1"/>
    <xf numFmtId="0" fontId="1" fillId="3" borderId="25" xfId="0" applyFont="1" applyFill="1" applyBorder="1"/>
    <xf numFmtId="0" fontId="0" fillId="0" borderId="0" xfId="0" applyFill="1"/>
    <xf numFmtId="0" fontId="0" fillId="0" borderId="9" xfId="0" applyBorder="1"/>
    <xf numFmtId="0" fontId="2" fillId="0" borderId="26" xfId="0" applyFont="1" applyFill="1" applyBorder="1"/>
    <xf numFmtId="0" fontId="3" fillId="4" borderId="28" xfId="0" applyFont="1" applyFill="1" applyBorder="1"/>
    <xf numFmtId="0" fontId="2" fillId="0" borderId="27" xfId="0" applyFont="1" applyFill="1" applyBorder="1"/>
    <xf numFmtId="0" fontId="0" fillId="0" borderId="29" xfId="0" applyBorder="1"/>
    <xf numFmtId="164" fontId="0" fillId="0" borderId="22" xfId="0" applyNumberFormat="1" applyBorder="1"/>
    <xf numFmtId="2" fontId="0" fillId="0" borderId="7" xfId="0" applyNumberFormat="1" applyBorder="1" applyAlignment="1"/>
    <xf numFmtId="1" fontId="0" fillId="3" borderId="18" xfId="0" applyNumberForma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0" fontId="0" fillId="0" borderId="0" xfId="0"/>
    <xf numFmtId="0" fontId="3" fillId="0" borderId="4" xfId="0" applyFont="1" applyBorder="1" applyAlignment="1">
      <alignment horizontal="center" textRotation="90" wrapText="1"/>
    </xf>
    <xf numFmtId="2" fontId="0" fillId="0" borderId="0" xfId="0" applyNumberFormat="1"/>
    <xf numFmtId="0" fontId="1" fillId="0" borderId="0" xfId="0" applyFont="1"/>
    <xf numFmtId="0" fontId="1" fillId="0" borderId="0" xfId="1"/>
    <xf numFmtId="164" fontId="1" fillId="0" borderId="0" xfId="1" applyNumberFormat="1" applyFill="1" applyBorder="1"/>
    <xf numFmtId="0" fontId="1" fillId="0" borderId="5" xfId="1" applyBorder="1"/>
    <xf numFmtId="164" fontId="1" fillId="0" borderId="0" xfId="1" applyNumberFormat="1" applyBorder="1"/>
    <xf numFmtId="3" fontId="1" fillId="0" borderId="10" xfId="1" applyNumberFormat="1" applyBorder="1"/>
    <xf numFmtId="3" fontId="1" fillId="0" borderId="0" xfId="1" applyNumberFormat="1" applyBorder="1"/>
    <xf numFmtId="4" fontId="1" fillId="0" borderId="0" xfId="1" applyNumberFormat="1" applyBorder="1"/>
    <xf numFmtId="2" fontId="5" fillId="0" borderId="7" xfId="1" applyNumberFormat="1" applyFont="1" applyBorder="1"/>
    <xf numFmtId="165" fontId="1" fillId="0" borderId="0" xfId="1" applyNumberFormat="1" applyBorder="1"/>
    <xf numFmtId="4" fontId="1" fillId="0" borderId="0" xfId="1" applyNumberFormat="1" applyBorder="1" applyAlignment="1">
      <alignment horizontal="right"/>
    </xf>
    <xf numFmtId="0" fontId="1" fillId="0" borderId="5" xfId="1" applyFont="1" applyBorder="1"/>
    <xf numFmtId="9" fontId="0" fillId="0" borderId="0" xfId="0" applyNumberFormat="1"/>
    <xf numFmtId="2" fontId="1" fillId="0" borderId="7" xfId="0" applyNumberFormat="1" applyFont="1" applyBorder="1"/>
    <xf numFmtId="0" fontId="1" fillId="0" borderId="5" xfId="0" applyFont="1" applyFill="1" applyBorder="1"/>
    <xf numFmtId="164" fontId="1" fillId="0" borderId="4" xfId="0" applyNumberFormat="1" applyFont="1" applyBorder="1" applyAlignment="1">
      <alignment textRotation="90"/>
    </xf>
    <xf numFmtId="0" fontId="6" fillId="0" borderId="0" xfId="0" applyFont="1"/>
    <xf numFmtId="164" fontId="0" fillId="0" borderId="0" xfId="0" applyNumberFormat="1" applyFill="1" applyBorder="1"/>
    <xf numFmtId="2" fontId="5" fillId="0" borderId="7" xfId="0" applyNumberFormat="1" applyFont="1" applyFill="1" applyBorder="1"/>
    <xf numFmtId="2" fontId="5" fillId="0" borderId="30" xfId="0" applyNumberFormat="1" applyFont="1" applyBorder="1"/>
    <xf numFmtId="0" fontId="0" fillId="0" borderId="3" xfId="0" applyBorder="1"/>
    <xf numFmtId="2" fontId="0" fillId="0" borderId="8" xfId="0" applyNumberFormat="1" applyBorder="1"/>
    <xf numFmtId="0" fontId="5" fillId="0" borderId="0" xfId="0" applyFont="1"/>
    <xf numFmtId="0" fontId="5" fillId="0" borderId="5" xfId="0" applyFont="1" applyBorder="1"/>
    <xf numFmtId="0" fontId="5" fillId="0" borderId="0" xfId="0" applyFont="1" applyBorder="1"/>
    <xf numFmtId="166" fontId="0" fillId="0" borderId="0" xfId="0" applyNumberFormat="1"/>
    <xf numFmtId="167" fontId="0" fillId="0" borderId="0" xfId="0" applyNumberFormat="1"/>
    <xf numFmtId="1" fontId="1" fillId="3" borderId="24" xfId="0" applyNumberFormat="1" applyFont="1" applyFill="1" applyBorder="1"/>
    <xf numFmtId="2" fontId="0" fillId="0" borderId="5" xfId="0" applyNumberFormat="1" applyFill="1" applyBorder="1"/>
    <xf numFmtId="2" fontId="1" fillId="2" borderId="5" xfId="0" applyNumberFormat="1" applyFont="1" applyFill="1" applyBorder="1"/>
    <xf numFmtId="0" fontId="1" fillId="0" borderId="5" xfId="0" applyFont="1" applyBorder="1"/>
    <xf numFmtId="0" fontId="1" fillId="0" borderId="0" xfId="0" applyFont="1" applyBorder="1"/>
    <xf numFmtId="166" fontId="0" fillId="0" borderId="0" xfId="0" applyNumberFormat="1" applyAlignment="1">
      <alignment horizontal="right"/>
    </xf>
    <xf numFmtId="9" fontId="0" fillId="0" borderId="0" xfId="0" applyNumberFormat="1" applyBorder="1"/>
    <xf numFmtId="164" fontId="0" fillId="0" borderId="7" xfId="0" applyNumberFormat="1" applyFill="1" applyBorder="1"/>
    <xf numFmtId="164" fontId="0" fillId="0" borderId="11" xfId="0" applyNumberFormat="1" applyFill="1" applyBorder="1"/>
    <xf numFmtId="164" fontId="0" fillId="0" borderId="22" xfId="0" applyNumberFormat="1" applyFill="1" applyBorder="1"/>
    <xf numFmtId="164" fontId="0" fillId="0" borderId="8" xfId="0" applyNumberFormat="1" applyFill="1" applyBorder="1"/>
    <xf numFmtId="2" fontId="0" fillId="0" borderId="0" xfId="0" applyNumberFormat="1" applyFill="1"/>
    <xf numFmtId="1" fontId="0" fillId="3" borderId="31" xfId="0" applyNumberFormat="1" applyFill="1" applyBorder="1" applyAlignment="1">
      <alignment horizontal="right"/>
    </xf>
    <xf numFmtId="2" fontId="0" fillId="0" borderId="24" xfId="0" applyNumberFormat="1" applyBorder="1"/>
    <xf numFmtId="0" fontId="1" fillId="0" borderId="7" xfId="0" applyFont="1" applyFill="1" applyBorder="1"/>
    <xf numFmtId="2" fontId="0" fillId="2" borderId="23" xfId="0" applyNumberFormat="1" applyFill="1" applyBorder="1"/>
    <xf numFmtId="2" fontId="0" fillId="2" borderId="18" xfId="0" applyNumberFormat="1" applyFill="1" applyBorder="1"/>
    <xf numFmtId="2" fontId="0" fillId="2" borderId="32" xfId="0" applyNumberFormat="1" applyFill="1" applyBorder="1"/>
    <xf numFmtId="2" fontId="1" fillId="2" borderId="18" xfId="0" applyNumberFormat="1" applyFont="1" applyFill="1" applyBorder="1"/>
    <xf numFmtId="164" fontId="0" fillId="0" borderId="33" xfId="0" applyNumberFormat="1" applyFill="1" applyBorder="1"/>
    <xf numFmtId="1" fontId="0" fillId="0" borderId="34" xfId="0" applyNumberFormat="1" applyBorder="1" applyAlignment="1">
      <alignment horizontal="right"/>
    </xf>
    <xf numFmtId="2" fontId="0" fillId="0" borderId="34" xfId="0" applyNumberFormat="1" applyBorder="1"/>
    <xf numFmtId="168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zoomScale="80" zoomScaleNormal="80" workbookViewId="0">
      <selection activeCell="I34" sqref="I34"/>
    </sheetView>
  </sheetViews>
  <sheetFormatPr defaultColWidth="9.140625" defaultRowHeight="12.75" outlineLevelCol="1" x14ac:dyDescent="0.2"/>
  <cols>
    <col min="1" max="1" width="20.42578125" style="46" customWidth="1"/>
    <col min="2" max="2" width="8.85546875" style="46" customWidth="1"/>
    <col min="3" max="3" width="8.7109375" style="46" customWidth="1" outlineLevel="1"/>
    <col min="4" max="4" width="6" style="46" customWidth="1" outlineLevel="1"/>
    <col min="5" max="5" width="6.7109375" style="46" customWidth="1" outlineLevel="1"/>
    <col min="6" max="6" width="7.28515625" style="46" customWidth="1" outlineLevel="1"/>
    <col min="7" max="7" width="9.7109375" style="48" customWidth="1" outlineLevel="1"/>
    <col min="8" max="8" width="8.7109375" style="46" customWidth="1" outlineLevel="1"/>
    <col min="9" max="9" width="6" style="46" customWidth="1" outlineLevel="1"/>
    <col min="10" max="10" width="6.7109375" style="46" customWidth="1" outlineLevel="1"/>
    <col min="11" max="11" width="7.28515625" style="46" customWidth="1" outlineLevel="1"/>
    <col min="12" max="12" width="9.7109375" style="48" customWidth="1" outlineLevel="1"/>
    <col min="13" max="13" width="11" style="46" bestFit="1" customWidth="1"/>
    <col min="14" max="14" width="8.140625" style="46" customWidth="1"/>
    <col min="15" max="15" width="12.42578125" style="46" customWidth="1"/>
    <col min="16" max="16" width="8.140625" style="46" customWidth="1"/>
    <col min="17" max="17" width="13" style="48" customWidth="1"/>
    <col min="18" max="18" width="9.140625" style="46"/>
    <col min="19" max="19" width="11.140625" style="46" hidden="1" customWidth="1" outlineLevel="1"/>
    <col min="20" max="20" width="10.5703125" style="46" hidden="1" customWidth="1" outlineLevel="1"/>
    <col min="21" max="21" width="11.28515625" style="46" hidden="1" customWidth="1" outlineLevel="1"/>
    <col min="22" max="27" width="9.140625" style="46" hidden="1" customWidth="1" outlineLevel="1"/>
    <col min="28" max="28" width="9.140625" style="46" collapsed="1"/>
    <col min="29" max="16384" width="9.140625" style="46"/>
  </cols>
  <sheetData>
    <row r="1" spans="1:24" ht="17.25" customHeight="1" thickBot="1" x14ac:dyDescent="0.3">
      <c r="A1" s="7" t="s">
        <v>58</v>
      </c>
      <c r="B1" s="22"/>
      <c r="Q1" s="46"/>
    </row>
    <row r="2" spans="1:24" s="8" customFormat="1" ht="84.75" customHeight="1" x14ac:dyDescent="0.2">
      <c r="A2" s="47" t="s">
        <v>48</v>
      </c>
      <c r="B2" s="29" t="s">
        <v>43</v>
      </c>
      <c r="C2" s="21" t="s">
        <v>53</v>
      </c>
      <c r="D2" s="12" t="s">
        <v>12</v>
      </c>
      <c r="E2" s="28" t="s">
        <v>14</v>
      </c>
      <c r="F2" s="64" t="s">
        <v>50</v>
      </c>
      <c r="G2" s="29"/>
      <c r="H2" s="21" t="s">
        <v>55</v>
      </c>
      <c r="I2" s="12" t="s">
        <v>12</v>
      </c>
      <c r="J2" s="28" t="s">
        <v>14</v>
      </c>
      <c r="K2" s="16" t="s">
        <v>15</v>
      </c>
      <c r="L2" s="29"/>
      <c r="M2" s="21" t="s">
        <v>22</v>
      </c>
      <c r="N2" s="12" t="s">
        <v>12</v>
      </c>
      <c r="O2" s="28" t="s">
        <v>14</v>
      </c>
      <c r="P2" s="16" t="s">
        <v>15</v>
      </c>
      <c r="Q2" s="29"/>
      <c r="S2" s="8" t="s">
        <v>30</v>
      </c>
      <c r="T2" s="8" t="s">
        <v>24</v>
      </c>
    </row>
    <row r="3" spans="1:24" x14ac:dyDescent="0.2">
      <c r="A3" s="2" t="s">
        <v>11</v>
      </c>
      <c r="B3" s="13">
        <f>25+(7.7/2)</f>
        <v>28.85</v>
      </c>
      <c r="C3" s="31">
        <v>0</v>
      </c>
      <c r="D3" s="13">
        <f t="shared" ref="D3:D9" si="0">C3/$B$18</f>
        <v>0</v>
      </c>
      <c r="E3" s="44">
        <f t="shared" ref="E3:E9" si="1">CEILING(D3,1)</f>
        <v>0</v>
      </c>
      <c r="F3" s="34">
        <f t="shared" ref="F3:F9" si="2">E3*B3</f>
        <v>0</v>
      </c>
      <c r="G3" s="11"/>
      <c r="H3" s="32">
        <v>8</v>
      </c>
      <c r="I3" s="13">
        <f t="shared" ref="I3:I9" si="3">H3/$B$18</f>
        <v>1.3333333333333333</v>
      </c>
      <c r="J3" s="44">
        <v>1</v>
      </c>
      <c r="K3" s="34">
        <f t="shared" ref="K3:K9" si="4">J3*B3</f>
        <v>28.85</v>
      </c>
      <c r="L3" s="11"/>
      <c r="M3" s="31">
        <f>C3+H3</f>
        <v>8</v>
      </c>
      <c r="N3" s="13"/>
      <c r="O3" s="76">
        <f>E3+J3</f>
        <v>1</v>
      </c>
      <c r="P3" s="91">
        <f>F3+K3</f>
        <v>28.85</v>
      </c>
      <c r="Q3" s="11"/>
    </row>
    <row r="4" spans="1:24" x14ac:dyDescent="0.2">
      <c r="A4" s="2" t="s">
        <v>10</v>
      </c>
      <c r="B4" s="13">
        <f>25+(7.7/2)</f>
        <v>28.85</v>
      </c>
      <c r="C4" s="31">
        <v>1</v>
      </c>
      <c r="D4" s="13">
        <f t="shared" si="0"/>
        <v>0.16666666666666666</v>
      </c>
      <c r="E4" s="44">
        <f t="shared" si="1"/>
        <v>1</v>
      </c>
      <c r="F4" s="34">
        <f t="shared" si="2"/>
        <v>28.85</v>
      </c>
      <c r="G4" s="43"/>
      <c r="H4" s="32">
        <v>5</v>
      </c>
      <c r="I4" s="13">
        <f t="shared" si="3"/>
        <v>0.83333333333333337</v>
      </c>
      <c r="J4" s="44">
        <v>1</v>
      </c>
      <c r="K4" s="34">
        <f t="shared" si="4"/>
        <v>28.85</v>
      </c>
      <c r="L4" s="11"/>
      <c r="M4" s="31">
        <f t="shared" ref="M4:M15" si="5">C4+H4</f>
        <v>6</v>
      </c>
      <c r="N4" s="13"/>
      <c r="O4" s="88">
        <f t="shared" ref="O4:O9" si="6">E4+J4</f>
        <v>2</v>
      </c>
      <c r="P4" s="92">
        <f t="shared" ref="P4:P15" si="7">F4+K4</f>
        <v>57.7</v>
      </c>
      <c r="Q4" s="11"/>
    </row>
    <row r="5" spans="1:24" x14ac:dyDescent="0.2">
      <c r="A5" s="2" t="s">
        <v>0</v>
      </c>
      <c r="B5" s="13">
        <f>25+(7.7/2)</f>
        <v>28.85</v>
      </c>
      <c r="C5" s="31">
        <v>5</v>
      </c>
      <c r="D5" s="13">
        <f t="shared" si="0"/>
        <v>0.83333333333333337</v>
      </c>
      <c r="E5" s="44">
        <f t="shared" si="1"/>
        <v>1</v>
      </c>
      <c r="F5" s="34">
        <f t="shared" si="2"/>
        <v>28.85</v>
      </c>
      <c r="G5" s="11"/>
      <c r="H5" s="32">
        <v>8</v>
      </c>
      <c r="I5" s="13">
        <f t="shared" si="3"/>
        <v>1.3333333333333333</v>
      </c>
      <c r="J5" s="44">
        <v>1</v>
      </c>
      <c r="K5" s="34">
        <f t="shared" si="4"/>
        <v>28.85</v>
      </c>
      <c r="L5" s="11"/>
      <c r="M5" s="31">
        <f t="shared" si="5"/>
        <v>13</v>
      </c>
      <c r="N5" s="13"/>
      <c r="O5" s="88">
        <f t="shared" si="6"/>
        <v>2</v>
      </c>
      <c r="P5" s="92">
        <f t="shared" si="7"/>
        <v>57.7</v>
      </c>
      <c r="Q5" s="11"/>
    </row>
    <row r="6" spans="1:24" x14ac:dyDescent="0.2">
      <c r="A6" s="2" t="s">
        <v>1</v>
      </c>
      <c r="B6" s="13">
        <f>26+(6.75/2)</f>
        <v>29.375</v>
      </c>
      <c r="C6" s="31">
        <v>5</v>
      </c>
      <c r="D6" s="13">
        <f t="shared" si="0"/>
        <v>0.83333333333333337</v>
      </c>
      <c r="E6" s="44">
        <f t="shared" si="1"/>
        <v>1</v>
      </c>
      <c r="F6" s="34">
        <f t="shared" si="2"/>
        <v>29.375</v>
      </c>
      <c r="G6" s="83"/>
      <c r="H6" s="32">
        <v>3</v>
      </c>
      <c r="I6" s="13">
        <f t="shared" si="3"/>
        <v>0.5</v>
      </c>
      <c r="J6" s="44">
        <v>1</v>
      </c>
      <c r="K6" s="34">
        <f t="shared" si="4"/>
        <v>29.375</v>
      </c>
      <c r="L6" s="83"/>
      <c r="M6" s="31">
        <f t="shared" si="5"/>
        <v>8</v>
      </c>
      <c r="N6" s="13"/>
      <c r="O6" s="88">
        <f t="shared" si="6"/>
        <v>2</v>
      </c>
      <c r="P6" s="92">
        <f t="shared" si="7"/>
        <v>58.75</v>
      </c>
      <c r="Q6" s="90"/>
    </row>
    <row r="7" spans="1:24" x14ac:dyDescent="0.2">
      <c r="A7" s="2" t="s">
        <v>2</v>
      </c>
      <c r="B7" s="13">
        <f>30+(6/2)</f>
        <v>33</v>
      </c>
      <c r="C7" s="31">
        <v>8</v>
      </c>
      <c r="D7" s="13">
        <f t="shared" si="0"/>
        <v>1.3333333333333333</v>
      </c>
      <c r="E7" s="44">
        <v>2</v>
      </c>
      <c r="F7" s="34">
        <f t="shared" si="2"/>
        <v>66</v>
      </c>
      <c r="G7" s="83"/>
      <c r="H7" s="32">
        <v>11</v>
      </c>
      <c r="I7" s="13">
        <f t="shared" si="3"/>
        <v>1.8333333333333333</v>
      </c>
      <c r="J7" s="44">
        <v>2</v>
      </c>
      <c r="K7" s="34">
        <f t="shared" si="4"/>
        <v>66</v>
      </c>
      <c r="L7" s="83"/>
      <c r="M7" s="31">
        <f t="shared" si="5"/>
        <v>19</v>
      </c>
      <c r="N7" s="13"/>
      <c r="O7" s="88">
        <f t="shared" si="6"/>
        <v>4</v>
      </c>
      <c r="P7" s="92">
        <f t="shared" si="7"/>
        <v>132</v>
      </c>
      <c r="Q7" s="90"/>
    </row>
    <row r="8" spans="1:24" x14ac:dyDescent="0.2">
      <c r="A8" s="2" t="s">
        <v>3</v>
      </c>
      <c r="B8" s="13">
        <f>31+(5/2)</f>
        <v>33.5</v>
      </c>
      <c r="C8" s="31">
        <v>5</v>
      </c>
      <c r="D8" s="13">
        <f t="shared" si="0"/>
        <v>0.83333333333333337</v>
      </c>
      <c r="E8" s="44">
        <f t="shared" si="1"/>
        <v>1</v>
      </c>
      <c r="F8" s="34">
        <f t="shared" si="2"/>
        <v>33.5</v>
      </c>
      <c r="G8" s="83"/>
      <c r="H8" s="32">
        <v>11</v>
      </c>
      <c r="I8" s="13">
        <f t="shared" si="3"/>
        <v>1.8333333333333333</v>
      </c>
      <c r="J8" s="44">
        <v>2</v>
      </c>
      <c r="K8" s="34">
        <f t="shared" si="4"/>
        <v>67</v>
      </c>
      <c r="L8" s="83"/>
      <c r="M8" s="31">
        <f t="shared" si="5"/>
        <v>16</v>
      </c>
      <c r="N8" s="13"/>
      <c r="O8" s="88">
        <f t="shared" si="6"/>
        <v>3</v>
      </c>
      <c r="P8" s="92">
        <f t="shared" si="7"/>
        <v>100.5</v>
      </c>
      <c r="Q8" s="90"/>
    </row>
    <row r="9" spans="1:24" x14ac:dyDescent="0.2">
      <c r="A9" s="2" t="s">
        <v>4</v>
      </c>
      <c r="B9" s="13">
        <f>31+(5/2)</f>
        <v>33.5</v>
      </c>
      <c r="C9" s="31">
        <v>5</v>
      </c>
      <c r="D9" s="13">
        <f t="shared" si="0"/>
        <v>0.83333333333333337</v>
      </c>
      <c r="E9" s="44">
        <f t="shared" si="1"/>
        <v>1</v>
      </c>
      <c r="F9" s="34">
        <f t="shared" si="2"/>
        <v>33.5</v>
      </c>
      <c r="G9" s="83"/>
      <c r="H9" s="32">
        <v>19</v>
      </c>
      <c r="I9" s="13">
        <f t="shared" si="3"/>
        <v>3.1666666666666665</v>
      </c>
      <c r="J9" s="44">
        <v>2</v>
      </c>
      <c r="K9" s="34">
        <f t="shared" si="4"/>
        <v>67</v>
      </c>
      <c r="L9" s="83"/>
      <c r="M9" s="31">
        <f t="shared" si="5"/>
        <v>24</v>
      </c>
      <c r="N9" s="13"/>
      <c r="O9" s="88">
        <f t="shared" si="6"/>
        <v>3</v>
      </c>
      <c r="P9" s="92">
        <f t="shared" si="7"/>
        <v>100.5</v>
      </c>
      <c r="Q9" s="90"/>
    </row>
    <row r="10" spans="1:24" x14ac:dyDescent="0.2">
      <c r="A10" s="2"/>
      <c r="B10" s="13"/>
      <c r="C10" s="31"/>
      <c r="D10" s="13"/>
      <c r="E10" s="44"/>
      <c r="F10" s="34"/>
      <c r="G10" s="83"/>
      <c r="H10" s="32"/>
      <c r="I10" s="13"/>
      <c r="J10" s="44"/>
      <c r="K10" s="34"/>
      <c r="L10" s="83"/>
      <c r="M10" s="31">
        <f t="shared" si="5"/>
        <v>0</v>
      </c>
      <c r="N10" s="13"/>
      <c r="O10" s="35"/>
      <c r="P10" s="94">
        <f t="shared" si="7"/>
        <v>0</v>
      </c>
      <c r="Q10" s="90"/>
    </row>
    <row r="11" spans="1:24" ht="13.5" thickBot="1" x14ac:dyDescent="0.25">
      <c r="A11" s="4" t="s">
        <v>31</v>
      </c>
      <c r="B11" s="14"/>
      <c r="C11" s="10">
        <f>SUM(C3:C10)</f>
        <v>29</v>
      </c>
      <c r="D11" s="14"/>
      <c r="E11" s="45">
        <f>SUM(E3:E10)</f>
        <v>7</v>
      </c>
      <c r="F11" s="14">
        <f>SUM(F3:F10)</f>
        <v>220.07499999999999</v>
      </c>
      <c r="G11" s="84"/>
      <c r="H11" s="10">
        <f>SUM(H3:H10)</f>
        <v>65</v>
      </c>
      <c r="I11" s="14"/>
      <c r="J11" s="45">
        <f>SUM(J3:J10)</f>
        <v>10</v>
      </c>
      <c r="K11" s="14">
        <f>SUM(K3:K10)</f>
        <v>315.92500000000001</v>
      </c>
      <c r="L11" s="84"/>
      <c r="M11" s="10">
        <f>SUM(M3:M10)</f>
        <v>94</v>
      </c>
      <c r="N11" s="14"/>
      <c r="O11" s="89">
        <f>SUM(O3:O10)</f>
        <v>17</v>
      </c>
      <c r="P11" s="30">
        <f>SUM(P3:P10)</f>
        <v>536</v>
      </c>
      <c r="Q11" s="84"/>
      <c r="S11" s="46">
        <v>4685</v>
      </c>
      <c r="T11" s="46">
        <f>M11-S11</f>
        <v>-4591</v>
      </c>
    </row>
    <row r="12" spans="1:24" x14ac:dyDescent="0.2">
      <c r="A12" s="2" t="s">
        <v>5</v>
      </c>
      <c r="B12" s="13">
        <f>32+(6.2/2)</f>
        <v>35.1</v>
      </c>
      <c r="C12" s="31">
        <v>2</v>
      </c>
      <c r="D12" s="13">
        <f>C12/$B$18</f>
        <v>0.33333333333333331</v>
      </c>
      <c r="E12" s="44">
        <v>0</v>
      </c>
      <c r="F12" s="34">
        <f>E12*B12</f>
        <v>0</v>
      </c>
      <c r="G12" s="83"/>
      <c r="H12" s="32">
        <v>16</v>
      </c>
      <c r="I12" s="13">
        <f>H12/$B$18</f>
        <v>2.6666666666666665</v>
      </c>
      <c r="J12" s="44">
        <v>2</v>
      </c>
      <c r="K12" s="34">
        <f>J12*B12</f>
        <v>70.2</v>
      </c>
      <c r="L12" s="83"/>
      <c r="M12" s="31">
        <f t="shared" si="5"/>
        <v>18</v>
      </c>
      <c r="N12" s="13"/>
      <c r="O12" s="76">
        <f t="shared" ref="O12:O15" si="8">E12+J12</f>
        <v>2</v>
      </c>
      <c r="P12" s="92">
        <f t="shared" si="7"/>
        <v>70.2</v>
      </c>
      <c r="Q12" s="90"/>
    </row>
    <row r="13" spans="1:24" x14ac:dyDescent="0.2">
      <c r="A13" s="2" t="s">
        <v>6</v>
      </c>
      <c r="B13" s="13">
        <f>32+(6.2/2)</f>
        <v>35.1</v>
      </c>
      <c r="C13" s="32">
        <v>9</v>
      </c>
      <c r="D13" s="13">
        <f>C13/$B$18</f>
        <v>1.5</v>
      </c>
      <c r="E13" s="44">
        <v>2</v>
      </c>
      <c r="F13" s="34">
        <f>E13*B13</f>
        <v>70.2</v>
      </c>
      <c r="G13" s="83"/>
      <c r="H13" s="32">
        <v>11</v>
      </c>
      <c r="I13" s="13">
        <f>H13/$B$18</f>
        <v>1.8333333333333333</v>
      </c>
      <c r="J13" s="44">
        <v>2</v>
      </c>
      <c r="K13" s="34">
        <f>J13*B13</f>
        <v>70.2</v>
      </c>
      <c r="L13" s="83"/>
      <c r="M13" s="31">
        <f t="shared" si="5"/>
        <v>20</v>
      </c>
      <c r="N13" s="13"/>
      <c r="O13" s="88">
        <f t="shared" si="8"/>
        <v>4</v>
      </c>
      <c r="P13" s="92">
        <f t="shared" si="7"/>
        <v>140.4</v>
      </c>
      <c r="Q13" s="90"/>
      <c r="S13" s="46">
        <v>666</v>
      </c>
      <c r="T13" s="46">
        <f>M13-S13</f>
        <v>-646</v>
      </c>
    </row>
    <row r="14" spans="1:24" x14ac:dyDescent="0.2">
      <c r="A14" s="2" t="s">
        <v>7</v>
      </c>
      <c r="B14" s="13">
        <f>31+(7.2/2)</f>
        <v>34.6</v>
      </c>
      <c r="C14" s="32">
        <v>5</v>
      </c>
      <c r="D14" s="13">
        <f>C14/$B$18</f>
        <v>0.83333333333333337</v>
      </c>
      <c r="E14" s="44">
        <f>CEILING(D14,1)</f>
        <v>1</v>
      </c>
      <c r="F14" s="34">
        <f>E14*B14</f>
        <v>34.6</v>
      </c>
      <c r="G14" s="83"/>
      <c r="H14" s="32">
        <v>15</v>
      </c>
      <c r="I14" s="13">
        <f>H14/$B$18</f>
        <v>2.5</v>
      </c>
      <c r="J14" s="44">
        <v>2</v>
      </c>
      <c r="K14" s="34">
        <f>J14*B14</f>
        <v>69.2</v>
      </c>
      <c r="L14" s="83"/>
      <c r="M14" s="31">
        <f t="shared" si="5"/>
        <v>20</v>
      </c>
      <c r="N14" s="13"/>
      <c r="O14" s="88">
        <f t="shared" si="8"/>
        <v>3</v>
      </c>
      <c r="P14" s="92">
        <f t="shared" si="7"/>
        <v>103.80000000000001</v>
      </c>
      <c r="Q14" s="90"/>
      <c r="S14" s="46">
        <v>411</v>
      </c>
      <c r="T14" s="46">
        <f>M14-S14</f>
        <v>-391</v>
      </c>
    </row>
    <row r="15" spans="1:24" x14ac:dyDescent="0.2">
      <c r="A15" s="2" t="s">
        <v>8</v>
      </c>
      <c r="B15" s="13">
        <f>31+(7.2/2)</f>
        <v>34.6</v>
      </c>
      <c r="C15" s="32">
        <v>4</v>
      </c>
      <c r="D15" s="13">
        <f>C15/$B$18</f>
        <v>0.66666666666666663</v>
      </c>
      <c r="E15" s="44">
        <f>CEILING(D15,1)</f>
        <v>1</v>
      </c>
      <c r="F15" s="34">
        <f>E15*B15</f>
        <v>34.6</v>
      </c>
      <c r="G15" s="83"/>
      <c r="H15" s="32">
        <v>14</v>
      </c>
      <c r="I15" s="13">
        <f>H15/$B$18</f>
        <v>2.3333333333333335</v>
      </c>
      <c r="J15" s="44">
        <v>2</v>
      </c>
      <c r="K15" s="34">
        <f>J15*B15</f>
        <v>69.2</v>
      </c>
      <c r="L15" s="83"/>
      <c r="M15" s="31">
        <f t="shared" si="5"/>
        <v>18</v>
      </c>
      <c r="N15" s="13"/>
      <c r="O15" s="88">
        <f t="shared" si="8"/>
        <v>3</v>
      </c>
      <c r="P15" s="93">
        <f t="shared" si="7"/>
        <v>103.80000000000001</v>
      </c>
      <c r="Q15" s="90"/>
      <c r="S15" s="46">
        <v>231</v>
      </c>
      <c r="T15" s="46">
        <f>M15-S15</f>
        <v>-213</v>
      </c>
      <c r="V15" s="46" t="s">
        <v>25</v>
      </c>
      <c r="X15" s="46">
        <v>70</v>
      </c>
    </row>
    <row r="16" spans="1:24" ht="13.5" thickBot="1" x14ac:dyDescent="0.25">
      <c r="A16" s="4" t="s">
        <v>32</v>
      </c>
      <c r="B16" s="14"/>
      <c r="C16" s="10">
        <f>SUM(C12:C15)</f>
        <v>20</v>
      </c>
      <c r="D16" s="14"/>
      <c r="E16" s="45">
        <f t="shared" ref="E16:F16" si="9">SUM(E12:E15)</f>
        <v>4</v>
      </c>
      <c r="F16" s="30">
        <f t="shared" si="9"/>
        <v>139.4</v>
      </c>
      <c r="G16" s="85"/>
      <c r="H16" s="10">
        <f>SUM(H12:H15)</f>
        <v>56</v>
      </c>
      <c r="I16" s="14"/>
      <c r="J16" s="45">
        <f t="shared" ref="J16:K16" si="10">SUM(J12:J15)</f>
        <v>8</v>
      </c>
      <c r="K16" s="30">
        <f t="shared" si="10"/>
        <v>278.8</v>
      </c>
      <c r="L16" s="42"/>
      <c r="M16" s="10">
        <f>SUM(M12:M15)</f>
        <v>76</v>
      </c>
      <c r="N16" s="14"/>
      <c r="O16" s="45">
        <f t="shared" ref="O16:P16" si="11">SUM(O12:O15)</f>
        <v>12</v>
      </c>
      <c r="P16" s="30">
        <f t="shared" si="11"/>
        <v>418.20000000000005</v>
      </c>
      <c r="Q16" s="95"/>
      <c r="S16" s="46">
        <f>SUM(S13:S15)</f>
        <v>1308</v>
      </c>
      <c r="T16" s="46">
        <f>SUM(T13:T15)</f>
        <v>-1250</v>
      </c>
      <c r="V16" s="46" t="s">
        <v>26</v>
      </c>
      <c r="X16" s="46">
        <v>46</v>
      </c>
    </row>
    <row r="17" spans="1:26" ht="13.5" thickBot="1" x14ac:dyDescent="0.25">
      <c r="A17" s="1" t="s">
        <v>9</v>
      </c>
      <c r="B17" s="15"/>
      <c r="C17" s="5">
        <f>C16+C11</f>
        <v>49</v>
      </c>
      <c r="D17" s="15"/>
      <c r="E17" s="96">
        <f>E16+E11</f>
        <v>11</v>
      </c>
      <c r="F17" s="15">
        <f>F16+F11</f>
        <v>359.47500000000002</v>
      </c>
      <c r="G17" s="86"/>
      <c r="H17" s="5">
        <f>H16+H11</f>
        <v>121</v>
      </c>
      <c r="I17" s="15"/>
      <c r="J17" s="96">
        <f>J16+J11</f>
        <v>18</v>
      </c>
      <c r="K17" s="15">
        <f>K16+K11</f>
        <v>594.72500000000002</v>
      </c>
      <c r="L17" s="18"/>
      <c r="M17" s="5">
        <f>M16+M11</f>
        <v>170</v>
      </c>
      <c r="N17" s="15"/>
      <c r="O17" s="27">
        <f>O16+O11</f>
        <v>29</v>
      </c>
      <c r="P17" s="97">
        <f>P16+P11</f>
        <v>954.2</v>
      </c>
      <c r="Q17" s="18"/>
      <c r="S17" s="46">
        <f>S11+S16</f>
        <v>5993</v>
      </c>
      <c r="T17" s="46">
        <f>M17-S17</f>
        <v>-5823</v>
      </c>
      <c r="X17" s="37">
        <f>SUM(X15:X16)</f>
        <v>116</v>
      </c>
      <c r="Z17" s="46">
        <f>T17+X17</f>
        <v>-5707</v>
      </c>
    </row>
    <row r="18" spans="1:26" ht="13.5" thickBot="1" x14ac:dyDescent="0.25">
      <c r="A18" s="3" t="s">
        <v>13</v>
      </c>
      <c r="B18" s="38">
        <v>6</v>
      </c>
      <c r="E18" s="46">
        <f>C17/E17</f>
        <v>4.4545454545454541</v>
      </c>
      <c r="G18" s="87"/>
      <c r="H18" s="32">
        <v>8</v>
      </c>
      <c r="J18" s="46">
        <f>H17/J17</f>
        <v>6.7222222222222223</v>
      </c>
      <c r="O18" s="98">
        <f>M17/O17</f>
        <v>5.8620689655172411</v>
      </c>
    </row>
    <row r="19" spans="1:26" ht="11.25" customHeight="1" thickTop="1" thickBot="1" x14ac:dyDescent="0.25">
      <c r="A19" s="40" t="s">
        <v>19</v>
      </c>
      <c r="B19" s="39">
        <v>26.66</v>
      </c>
      <c r="M19" s="41"/>
    </row>
    <row r="20" spans="1:26" ht="4.7" customHeight="1" thickTop="1" thickBot="1" x14ac:dyDescent="0.25"/>
    <row r="21" spans="1:26" x14ac:dyDescent="0.2">
      <c r="C21" s="19"/>
      <c r="D21" s="20"/>
      <c r="E21" s="20"/>
      <c r="F21" s="20"/>
      <c r="G21" s="23" t="s">
        <v>17</v>
      </c>
      <c r="H21" s="19"/>
      <c r="I21" s="20"/>
      <c r="J21" s="20"/>
      <c r="K21" s="20"/>
      <c r="L21" s="23" t="s">
        <v>17</v>
      </c>
      <c r="M21" s="19"/>
      <c r="N21" s="20"/>
      <c r="O21" s="20"/>
      <c r="P21" s="20"/>
      <c r="Q21" s="23" t="s">
        <v>17</v>
      </c>
    </row>
    <row r="22" spans="1:26" x14ac:dyDescent="0.2">
      <c r="A22" s="46" t="s">
        <v>20</v>
      </c>
      <c r="C22" s="9"/>
      <c r="D22" s="6"/>
      <c r="E22" s="6"/>
      <c r="F22" s="6"/>
      <c r="G22" s="24">
        <f>F17/$B$19</f>
        <v>13.483683420855215</v>
      </c>
      <c r="H22" s="9"/>
      <c r="I22" s="6"/>
      <c r="J22" s="6"/>
      <c r="K22" s="6"/>
      <c r="L22" s="24">
        <f>K17/$B$19</f>
        <v>22.30776444111028</v>
      </c>
      <c r="M22" s="9"/>
      <c r="N22" s="6"/>
      <c r="O22" s="6"/>
      <c r="P22" s="6"/>
      <c r="Q22" s="24">
        <f>P17/$B$19</f>
        <v>35.791447861965494</v>
      </c>
      <c r="S22" s="46" t="s">
        <v>29</v>
      </c>
      <c r="W22" s="46">
        <v>279</v>
      </c>
      <c r="X22" s="46" t="s">
        <v>27</v>
      </c>
      <c r="Y22" s="46" t="s">
        <v>28</v>
      </c>
    </row>
    <row r="23" spans="1:26" x14ac:dyDescent="0.2">
      <c r="C23" s="9"/>
      <c r="D23" s="6"/>
      <c r="E23" s="6"/>
      <c r="F23" s="6"/>
      <c r="G23" s="24"/>
      <c r="H23" s="9"/>
      <c r="I23" s="6"/>
      <c r="J23" s="6"/>
      <c r="K23" s="6"/>
      <c r="L23" s="24"/>
      <c r="M23" s="9"/>
      <c r="N23" s="6"/>
      <c r="O23" s="6"/>
      <c r="P23" s="6"/>
      <c r="Q23" s="24"/>
    </row>
    <row r="24" spans="1:26" x14ac:dyDescent="0.2">
      <c r="A24" s="46" t="s">
        <v>52</v>
      </c>
      <c r="C24" s="9"/>
      <c r="D24" s="6"/>
      <c r="E24" s="6"/>
      <c r="F24" s="6"/>
      <c r="G24" s="24">
        <v>0</v>
      </c>
      <c r="H24" s="9"/>
      <c r="I24" s="6"/>
      <c r="J24" s="6"/>
      <c r="K24" s="6"/>
      <c r="L24" s="24">
        <f>G24</f>
        <v>0</v>
      </c>
      <c r="M24" s="9"/>
      <c r="N24" s="6"/>
      <c r="O24" s="6"/>
      <c r="P24" s="6"/>
      <c r="Q24" s="24">
        <f>SUM(C24:L24)</f>
        <v>0</v>
      </c>
    </row>
    <row r="25" spans="1:26" x14ac:dyDescent="0.2">
      <c r="C25" s="9"/>
      <c r="D25" s="6"/>
      <c r="E25" s="6"/>
      <c r="F25" s="6"/>
      <c r="G25" s="24"/>
      <c r="H25" s="9"/>
      <c r="I25" s="6"/>
      <c r="J25" s="6"/>
      <c r="K25" s="6"/>
      <c r="L25" s="24"/>
      <c r="M25" s="9"/>
      <c r="N25" s="6"/>
      <c r="O25" s="6"/>
      <c r="P25" s="6"/>
      <c r="Q25" s="24"/>
    </row>
    <row r="26" spans="1:26" x14ac:dyDescent="0.2">
      <c r="A26" s="49" t="s">
        <v>44</v>
      </c>
      <c r="B26" s="74">
        <f>B69</f>
        <v>0</v>
      </c>
      <c r="C26" s="9">
        <v>0</v>
      </c>
      <c r="D26" s="6"/>
      <c r="E26" s="6"/>
      <c r="F26" s="6"/>
      <c r="G26" s="24">
        <f>C26*$B$26</f>
        <v>0</v>
      </c>
      <c r="H26" s="9">
        <f>C26</f>
        <v>0</v>
      </c>
      <c r="I26" s="6"/>
      <c r="J26" s="6"/>
      <c r="K26" s="6"/>
      <c r="L26" s="24">
        <f>H26*$B$26</f>
        <v>0</v>
      </c>
      <c r="M26" s="63">
        <f>C26+H26</f>
        <v>0</v>
      </c>
      <c r="N26" s="6"/>
      <c r="O26" s="6"/>
      <c r="P26" s="6"/>
      <c r="Q26" s="62">
        <f>G26+L26</f>
        <v>0</v>
      </c>
    </row>
    <row r="27" spans="1:26" x14ac:dyDescent="0.2">
      <c r="A27" s="49" t="s">
        <v>44</v>
      </c>
      <c r="B27" s="81">
        <v>1.721E-2</v>
      </c>
      <c r="C27" s="9">
        <f>C17-C26</f>
        <v>49</v>
      </c>
      <c r="D27" s="6"/>
      <c r="E27" s="6"/>
      <c r="F27" s="6"/>
      <c r="G27" s="24">
        <f>$B$27*C27</f>
        <v>0.84328999999999998</v>
      </c>
      <c r="H27" s="9">
        <f>H17-H26</f>
        <v>121</v>
      </c>
      <c r="I27" s="6"/>
      <c r="J27" s="6"/>
      <c r="K27" s="6"/>
      <c r="L27" s="24">
        <f>$B$27*H27</f>
        <v>2.0824099999999999</v>
      </c>
      <c r="M27" s="63">
        <f>C27+H27</f>
        <v>170</v>
      </c>
      <c r="N27" s="6"/>
      <c r="O27" s="6"/>
      <c r="P27" s="6"/>
      <c r="Q27" s="62">
        <f>G27+L27</f>
        <v>2.9257</v>
      </c>
      <c r="R27" s="48"/>
    </row>
    <row r="28" spans="1:26" x14ac:dyDescent="0.2">
      <c r="A28" s="49" t="s">
        <v>60</v>
      </c>
      <c r="B28" s="81">
        <f>0.0799</f>
        <v>7.9899999999999999E-2</v>
      </c>
      <c r="C28" s="9"/>
      <c r="D28" s="6"/>
      <c r="E28" s="6"/>
      <c r="F28" s="6"/>
      <c r="G28" s="24">
        <f>$B$27*C28</f>
        <v>0</v>
      </c>
      <c r="H28" s="9">
        <f>H27</f>
        <v>121</v>
      </c>
      <c r="I28" s="6"/>
      <c r="J28" s="82">
        <v>0.5</v>
      </c>
      <c r="K28" s="6"/>
      <c r="L28" s="24">
        <f>($B$28*H28)*J28</f>
        <v>4.8339499999999997</v>
      </c>
      <c r="M28" s="63">
        <f>C28+H28</f>
        <v>121</v>
      </c>
      <c r="N28" s="6"/>
      <c r="O28" s="6"/>
      <c r="P28" s="6"/>
      <c r="Q28" s="62">
        <f>G28+L28</f>
        <v>4.8339499999999997</v>
      </c>
      <c r="R28" s="48"/>
    </row>
    <row r="29" spans="1:26" x14ac:dyDescent="0.2">
      <c r="C29" s="9"/>
      <c r="D29" s="6"/>
      <c r="E29" s="6"/>
      <c r="F29" s="6"/>
      <c r="G29" s="24"/>
      <c r="H29" s="9"/>
      <c r="I29" s="6"/>
      <c r="J29" s="6"/>
      <c r="K29" s="6"/>
      <c r="L29" s="24"/>
      <c r="M29" s="9"/>
      <c r="N29" s="6"/>
      <c r="O29" s="6"/>
      <c r="P29" s="6"/>
      <c r="Q29" s="24"/>
    </row>
    <row r="30" spans="1:26" x14ac:dyDescent="0.2">
      <c r="A30" s="46" t="s">
        <v>18</v>
      </c>
      <c r="C30" s="33">
        <v>37</v>
      </c>
      <c r="D30" s="17">
        <v>37</v>
      </c>
      <c r="E30" s="17"/>
      <c r="F30" s="17"/>
      <c r="G30" s="25">
        <f>C30/D30</f>
        <v>1</v>
      </c>
      <c r="H30" s="33">
        <f>1.5*37</f>
        <v>55.5</v>
      </c>
      <c r="I30" s="17">
        <v>37</v>
      </c>
      <c r="J30" s="17"/>
      <c r="K30" s="17"/>
      <c r="L30" s="25">
        <f>H30/I30</f>
        <v>1.5</v>
      </c>
      <c r="M30" s="78">
        <f>C30+H30</f>
        <v>92.5</v>
      </c>
      <c r="N30" s="17">
        <v>37</v>
      </c>
      <c r="O30" s="17"/>
      <c r="P30" s="17"/>
      <c r="Q30" s="25">
        <f>M30/N30</f>
        <v>2.5</v>
      </c>
    </row>
    <row r="31" spans="1:26" s="36" customFormat="1" x14ac:dyDescent="0.2">
      <c r="C31" s="77"/>
      <c r="D31" s="66"/>
      <c r="E31" s="66"/>
      <c r="F31" s="66"/>
      <c r="G31" s="67"/>
      <c r="H31" s="77"/>
      <c r="I31" s="66"/>
      <c r="J31" s="66"/>
      <c r="K31" s="66"/>
      <c r="L31" s="67"/>
      <c r="M31" s="63"/>
      <c r="N31" s="66"/>
      <c r="O31" s="66"/>
      <c r="P31" s="66"/>
      <c r="Q31" s="67"/>
    </row>
    <row r="32" spans="1:26" x14ac:dyDescent="0.2">
      <c r="A32" s="46" t="s">
        <v>45</v>
      </c>
      <c r="C32" s="9"/>
      <c r="D32" s="6"/>
      <c r="E32" s="6"/>
      <c r="F32" s="6"/>
      <c r="G32" s="24">
        <f>SUM(G22:G30)</f>
        <v>15.326973420855214</v>
      </c>
      <c r="H32" s="9"/>
      <c r="I32" s="6"/>
      <c r="J32" s="6"/>
      <c r="K32" s="6"/>
      <c r="L32" s="24">
        <f>SUM(L22:L30)</f>
        <v>30.724124441110277</v>
      </c>
      <c r="M32" s="9"/>
      <c r="N32" s="6"/>
      <c r="O32" s="6"/>
      <c r="P32" s="6"/>
      <c r="Q32" s="24">
        <f>SUM(Q22:Q30)</f>
        <v>46.051097861965495</v>
      </c>
    </row>
    <row r="33" spans="1:17" x14ac:dyDescent="0.2">
      <c r="A33" s="46" t="s">
        <v>23</v>
      </c>
      <c r="C33" s="9"/>
      <c r="D33" s="6"/>
      <c r="E33" s="6"/>
      <c r="F33" s="6"/>
      <c r="G33" s="25">
        <f>-G32*1.4%</f>
        <v>-0.21457762789197299</v>
      </c>
      <c r="H33" s="9"/>
      <c r="I33" s="6"/>
      <c r="J33" s="6"/>
      <c r="K33" s="6"/>
      <c r="L33" s="25">
        <f>-L32*1.4%</f>
        <v>-0.43013774217554385</v>
      </c>
      <c r="M33" s="9"/>
      <c r="N33" s="6"/>
      <c r="O33" s="6"/>
      <c r="P33" s="6"/>
      <c r="Q33" s="25">
        <f>-Q32*1.4%</f>
        <v>-0.64471537006751689</v>
      </c>
    </row>
    <row r="34" spans="1:17" x14ac:dyDescent="0.2">
      <c r="C34" s="9"/>
      <c r="D34" s="6"/>
      <c r="E34" s="6"/>
      <c r="F34" s="6"/>
      <c r="G34" s="24"/>
      <c r="H34" s="9"/>
      <c r="I34" s="6"/>
      <c r="J34" s="6"/>
      <c r="K34" s="6"/>
      <c r="L34" s="24"/>
      <c r="M34" s="9"/>
      <c r="N34" s="6"/>
      <c r="O34" s="6"/>
      <c r="P34" s="6"/>
      <c r="Q34" s="24"/>
    </row>
    <row r="35" spans="1:17" s="71" customFormat="1" ht="13.5" thickBot="1" x14ac:dyDescent="0.25">
      <c r="A35" s="71" t="s">
        <v>46</v>
      </c>
      <c r="C35" s="72"/>
      <c r="D35" s="73"/>
      <c r="E35" s="73"/>
      <c r="F35" s="73"/>
      <c r="G35" s="26">
        <f>SUM(G32:G33)</f>
        <v>15.112395792963241</v>
      </c>
      <c r="H35" s="72"/>
      <c r="I35" s="73"/>
      <c r="J35" s="73"/>
      <c r="K35" s="73"/>
      <c r="L35" s="26">
        <f>SUM(L32:L33)</f>
        <v>30.293986698934734</v>
      </c>
      <c r="M35" s="72"/>
      <c r="N35" s="73"/>
      <c r="O35" s="73"/>
      <c r="P35" s="73"/>
      <c r="Q35" s="26">
        <f>SUM(Q32:Q33)</f>
        <v>45.406382491897979</v>
      </c>
    </row>
    <row r="36" spans="1:17" s="71" customFormat="1" ht="13.5" thickTop="1" x14ac:dyDescent="0.2">
      <c r="C36" s="72"/>
      <c r="D36" s="73"/>
      <c r="E36" s="73"/>
      <c r="F36" s="73"/>
      <c r="G36" s="24"/>
      <c r="H36" s="72"/>
      <c r="I36" s="73"/>
      <c r="J36" s="73"/>
      <c r="K36" s="73"/>
      <c r="L36" s="24"/>
      <c r="M36" s="72"/>
      <c r="N36" s="73"/>
      <c r="O36" s="73"/>
      <c r="P36" s="73"/>
      <c r="Q36" s="24"/>
    </row>
    <row r="37" spans="1:17" s="71" customFormat="1" x14ac:dyDescent="0.2">
      <c r="A37" s="71" t="s">
        <v>56</v>
      </c>
      <c r="C37" s="72"/>
      <c r="D37" s="73"/>
      <c r="E37" s="73"/>
      <c r="F37" s="73"/>
      <c r="G37" s="24"/>
      <c r="H37" s="72"/>
      <c r="I37" s="73"/>
      <c r="J37" s="73"/>
      <c r="K37" s="73"/>
      <c r="L37" s="24"/>
      <c r="M37" s="72"/>
      <c r="N37" s="73"/>
      <c r="O37" s="73"/>
      <c r="P37" s="73"/>
      <c r="Q37" s="24"/>
    </row>
    <row r="38" spans="1:17" s="49" customFormat="1" x14ac:dyDescent="0.2">
      <c r="A38" s="49" t="s">
        <v>57</v>
      </c>
      <c r="C38" s="79">
        <v>1.1200000000000001</v>
      </c>
      <c r="D38" s="80"/>
      <c r="E38" s="80"/>
      <c r="F38" s="80"/>
      <c r="G38" s="62">
        <f>C38*E17</f>
        <v>12.32</v>
      </c>
      <c r="H38" s="79">
        <v>0.35</v>
      </c>
      <c r="I38" s="80"/>
      <c r="J38" s="80"/>
      <c r="K38" s="80"/>
      <c r="L38" s="62">
        <f>H38*J17</f>
        <v>6.3</v>
      </c>
      <c r="M38" s="79"/>
      <c r="N38" s="80"/>
      <c r="O38" s="80"/>
      <c r="P38" s="80"/>
      <c r="Q38" s="62">
        <f>L38+G38</f>
        <v>18.62</v>
      </c>
    </row>
    <row r="39" spans="1:17" s="49" customFormat="1" x14ac:dyDescent="0.2">
      <c r="A39" s="49" t="s">
        <v>60</v>
      </c>
      <c r="B39" s="81">
        <f>0.0799</f>
        <v>7.9899999999999999E-2</v>
      </c>
      <c r="C39" s="9"/>
      <c r="D39" s="6"/>
      <c r="E39" s="6"/>
      <c r="F39" s="6"/>
      <c r="G39" s="62">
        <f>$B$27*C39</f>
        <v>0</v>
      </c>
      <c r="H39" s="9">
        <f>H17</f>
        <v>121</v>
      </c>
      <c r="I39" s="6"/>
      <c r="J39" s="82">
        <v>0.5</v>
      </c>
      <c r="K39" s="6"/>
      <c r="L39" s="62">
        <f>($B$28*H39)*J39</f>
        <v>4.8339499999999997</v>
      </c>
      <c r="M39" s="63">
        <f>C39+H39</f>
        <v>121</v>
      </c>
      <c r="N39" s="6"/>
      <c r="O39" s="6"/>
      <c r="P39" s="6"/>
      <c r="Q39" s="62">
        <f>G39+L39</f>
        <v>4.8339499999999997</v>
      </c>
    </row>
    <row r="40" spans="1:17" x14ac:dyDescent="0.2">
      <c r="C40" s="9"/>
      <c r="D40" s="6"/>
      <c r="E40" s="6"/>
      <c r="F40" s="6"/>
      <c r="G40" s="24"/>
      <c r="H40" s="9"/>
      <c r="I40" s="6"/>
      <c r="J40" s="6"/>
      <c r="K40" s="6"/>
      <c r="L40" s="24"/>
      <c r="M40" s="9"/>
      <c r="N40" s="6"/>
      <c r="O40" s="6"/>
      <c r="P40" s="6"/>
      <c r="Q40" s="24"/>
    </row>
    <row r="41" spans="1:17" x14ac:dyDescent="0.2">
      <c r="A41" s="46" t="s">
        <v>59</v>
      </c>
      <c r="C41" s="9"/>
      <c r="D41" s="6"/>
      <c r="E41" s="6"/>
      <c r="F41" s="6"/>
      <c r="G41" s="24"/>
      <c r="H41" s="9"/>
      <c r="I41" s="6"/>
      <c r="J41" s="6"/>
      <c r="K41" s="6"/>
      <c r="L41" s="24"/>
      <c r="M41" s="9"/>
      <c r="N41" s="6"/>
      <c r="O41" s="6"/>
      <c r="P41" s="6"/>
      <c r="Q41" s="24"/>
    </row>
    <row r="42" spans="1:17" collapsed="1" x14ac:dyDescent="0.2">
      <c r="A42" s="46" t="s">
        <v>54</v>
      </c>
      <c r="C42" s="60" t="s">
        <v>62</v>
      </c>
      <c r="D42" s="59" t="s">
        <v>21</v>
      </c>
      <c r="E42" s="58"/>
      <c r="F42" s="53"/>
      <c r="G42" s="57"/>
      <c r="H42" s="60" t="str">
        <f>C42</f>
        <v>lekt.</v>
      </c>
      <c r="I42" s="59" t="s">
        <v>21</v>
      </c>
      <c r="J42" s="58"/>
      <c r="K42" s="53"/>
      <c r="L42" s="57"/>
      <c r="M42" s="60" t="str">
        <f>H42</f>
        <v>lekt.</v>
      </c>
      <c r="N42" s="59" t="s">
        <v>21</v>
      </c>
      <c r="O42" s="58"/>
      <c r="P42" s="53"/>
      <c r="Q42" s="57"/>
    </row>
    <row r="43" spans="1:17" x14ac:dyDescent="0.2">
      <c r="A43" s="50" t="s">
        <v>33</v>
      </c>
      <c r="C43" s="52">
        <v>3.85</v>
      </c>
      <c r="D43" s="55">
        <f>E3+E4+E5</f>
        <v>2</v>
      </c>
      <c r="E43" s="53">
        <f>C43*D43</f>
        <v>7.7</v>
      </c>
      <c r="F43" s="53" t="s">
        <v>16</v>
      </c>
      <c r="G43" s="57"/>
      <c r="H43" s="52">
        <f t="shared" ref="H43:H48" si="12">C43</f>
        <v>3.85</v>
      </c>
      <c r="I43" s="55">
        <f>J3+J4+J5</f>
        <v>3</v>
      </c>
      <c r="J43" s="53">
        <f>H43*I43</f>
        <v>11.55</v>
      </c>
      <c r="K43" s="53" t="s">
        <v>16</v>
      </c>
      <c r="L43" s="57"/>
      <c r="M43" s="52">
        <f>C43</f>
        <v>3.85</v>
      </c>
      <c r="N43" s="55">
        <f>O3+O4+O5</f>
        <v>5</v>
      </c>
      <c r="O43" s="53">
        <f>M43*N43</f>
        <v>19.25</v>
      </c>
      <c r="P43" s="53" t="s">
        <v>16</v>
      </c>
      <c r="Q43" s="57"/>
    </row>
    <row r="44" spans="1:17" x14ac:dyDescent="0.2">
      <c r="A44" s="50" t="s">
        <v>34</v>
      </c>
      <c r="C44" s="52">
        <f>6.75/2</f>
        <v>3.375</v>
      </c>
      <c r="D44" s="55">
        <f>E6</f>
        <v>1</v>
      </c>
      <c r="E44" s="53">
        <f t="shared" ref="E44:E48" si="13">C44*D44</f>
        <v>3.375</v>
      </c>
      <c r="F44" s="53"/>
      <c r="G44" s="57"/>
      <c r="H44" s="52">
        <f t="shared" si="12"/>
        <v>3.375</v>
      </c>
      <c r="I44" s="55">
        <f>J6</f>
        <v>1</v>
      </c>
      <c r="J44" s="53">
        <f t="shared" ref="J44:J48" si="14">H44*I44</f>
        <v>3.375</v>
      </c>
      <c r="K44" s="53"/>
      <c r="L44" s="57"/>
      <c r="M44" s="52">
        <f t="shared" ref="M44:M48" si="15">C44</f>
        <v>3.375</v>
      </c>
      <c r="N44" s="55">
        <f>O6</f>
        <v>2</v>
      </c>
      <c r="O44" s="53">
        <f>M44*N44</f>
        <v>6.75</v>
      </c>
      <c r="P44" s="53"/>
      <c r="Q44" s="57"/>
    </row>
    <row r="45" spans="1:17" x14ac:dyDescent="0.2">
      <c r="A45" s="50" t="s">
        <v>35</v>
      </c>
      <c r="C45" s="52">
        <f>6/2</f>
        <v>3</v>
      </c>
      <c r="D45" s="55">
        <f>E7</f>
        <v>2</v>
      </c>
      <c r="E45" s="53">
        <f t="shared" si="13"/>
        <v>6</v>
      </c>
      <c r="F45" s="53"/>
      <c r="G45" s="57"/>
      <c r="H45" s="52">
        <f t="shared" si="12"/>
        <v>3</v>
      </c>
      <c r="I45" s="55">
        <f>J7</f>
        <v>2</v>
      </c>
      <c r="J45" s="53">
        <f t="shared" si="14"/>
        <v>6</v>
      </c>
      <c r="K45" s="53"/>
      <c r="L45" s="57"/>
      <c r="M45" s="52">
        <f t="shared" si="15"/>
        <v>3</v>
      </c>
      <c r="N45" s="55">
        <f>O7</f>
        <v>4</v>
      </c>
      <c r="O45" s="53">
        <f t="shared" ref="O45:O47" si="16">M45*N45</f>
        <v>12</v>
      </c>
      <c r="P45" s="53"/>
      <c r="Q45" s="57"/>
    </row>
    <row r="46" spans="1:17" x14ac:dyDescent="0.2">
      <c r="A46" s="50" t="s">
        <v>36</v>
      </c>
      <c r="C46" s="52">
        <f>5/2</f>
        <v>2.5</v>
      </c>
      <c r="D46" s="55">
        <f>E8+E9</f>
        <v>2</v>
      </c>
      <c r="E46" s="53">
        <f t="shared" si="13"/>
        <v>5</v>
      </c>
      <c r="F46" s="53"/>
      <c r="G46" s="57"/>
      <c r="H46" s="52">
        <f t="shared" si="12"/>
        <v>2.5</v>
      </c>
      <c r="I46" s="55">
        <f>J8+J9</f>
        <v>4</v>
      </c>
      <c r="J46" s="53">
        <f t="shared" si="14"/>
        <v>10</v>
      </c>
      <c r="K46" s="53"/>
      <c r="L46" s="57"/>
      <c r="M46" s="52">
        <f t="shared" si="15"/>
        <v>2.5</v>
      </c>
      <c r="N46" s="55">
        <f>O8+O9</f>
        <v>6</v>
      </c>
      <c r="O46" s="53">
        <f t="shared" si="16"/>
        <v>15</v>
      </c>
      <c r="P46" s="53"/>
      <c r="Q46" s="57"/>
    </row>
    <row r="47" spans="1:17" x14ac:dyDescent="0.2">
      <c r="A47" s="50" t="s">
        <v>37</v>
      </c>
      <c r="C47" s="52">
        <f>6.2/2</f>
        <v>3.1</v>
      </c>
      <c r="D47" s="55">
        <f>E12+E13</f>
        <v>2</v>
      </c>
      <c r="E47" s="53">
        <f t="shared" si="13"/>
        <v>6.2</v>
      </c>
      <c r="F47" s="53"/>
      <c r="G47" s="57"/>
      <c r="H47" s="52">
        <f t="shared" si="12"/>
        <v>3.1</v>
      </c>
      <c r="I47" s="55">
        <f>J12+J13</f>
        <v>4</v>
      </c>
      <c r="J47" s="53">
        <f t="shared" si="14"/>
        <v>12.4</v>
      </c>
      <c r="K47" s="53"/>
      <c r="L47" s="57"/>
      <c r="M47" s="52">
        <f t="shared" si="15"/>
        <v>3.1</v>
      </c>
      <c r="N47" s="55">
        <f>O12+O13</f>
        <v>6</v>
      </c>
      <c r="O47" s="53">
        <f t="shared" si="16"/>
        <v>18.600000000000001</v>
      </c>
      <c r="P47" s="53"/>
      <c r="Q47" s="57"/>
    </row>
    <row r="48" spans="1:17" x14ac:dyDescent="0.2">
      <c r="A48" s="50" t="s">
        <v>38</v>
      </c>
      <c r="C48" s="52">
        <f>7.2/2</f>
        <v>3.6</v>
      </c>
      <c r="D48" s="54">
        <f>E14+E15</f>
        <v>2</v>
      </c>
      <c r="E48" s="53">
        <f t="shared" si="13"/>
        <v>7.2</v>
      </c>
      <c r="F48" s="53"/>
      <c r="G48" s="57"/>
      <c r="H48" s="52">
        <f t="shared" si="12"/>
        <v>3.6</v>
      </c>
      <c r="I48" s="54">
        <f>J14+J15</f>
        <v>4</v>
      </c>
      <c r="J48" s="53">
        <f t="shared" si="14"/>
        <v>14.4</v>
      </c>
      <c r="K48" s="53"/>
      <c r="L48" s="57"/>
      <c r="M48" s="52">
        <f t="shared" si="15"/>
        <v>3.6</v>
      </c>
      <c r="N48" s="54">
        <f>O14+O15</f>
        <v>6</v>
      </c>
      <c r="O48" s="53">
        <f>M48*N48</f>
        <v>21.6</v>
      </c>
      <c r="P48" s="53"/>
      <c r="Q48" s="57"/>
    </row>
    <row r="49" spans="1:17" x14ac:dyDescent="0.2">
      <c r="C49" s="52"/>
      <c r="D49" s="55">
        <f>SUM(D43:D48)</f>
        <v>11</v>
      </c>
      <c r="E49" s="56">
        <f>SUM(E43:E48)</f>
        <v>35.475000000000001</v>
      </c>
      <c r="F49" s="53" t="s">
        <v>62</v>
      </c>
      <c r="G49" s="57"/>
      <c r="H49" s="52"/>
      <c r="I49" s="55">
        <f>SUM(I43:I48)</f>
        <v>18</v>
      </c>
      <c r="J49" s="56">
        <f>SUM(J43:J48)</f>
        <v>57.725000000000001</v>
      </c>
      <c r="K49" s="53" t="str">
        <f>F49</f>
        <v>lekt.</v>
      </c>
      <c r="L49" s="57"/>
      <c r="M49" s="52"/>
      <c r="N49" s="55">
        <f>SUM(N43:N48)</f>
        <v>29</v>
      </c>
      <c r="O49" s="56">
        <f>SUM(O43:O48)</f>
        <v>93.199999999999989</v>
      </c>
      <c r="P49" s="53" t="str">
        <f>K49</f>
        <v>lekt.</v>
      </c>
      <c r="Q49" s="57"/>
    </row>
    <row r="50" spans="1:17" x14ac:dyDescent="0.2">
      <c r="A50" s="46" t="s">
        <v>42</v>
      </c>
      <c r="C50" s="52"/>
      <c r="D50" s="55"/>
      <c r="E50" s="56"/>
      <c r="F50" s="53"/>
      <c r="G50" s="57"/>
      <c r="H50" s="52"/>
      <c r="I50" s="55"/>
      <c r="J50" s="56"/>
      <c r="K50" s="53"/>
      <c r="L50" s="57"/>
      <c r="M50" s="52"/>
      <c r="N50" s="55"/>
      <c r="O50" s="56"/>
      <c r="P50" s="53"/>
      <c r="Q50" s="57"/>
    </row>
    <row r="51" spans="1:17" x14ac:dyDescent="0.2">
      <c r="A51" s="49" t="s">
        <v>40</v>
      </c>
      <c r="B51" s="46">
        <v>1.4</v>
      </c>
      <c r="C51" s="9"/>
      <c r="D51" s="6"/>
      <c r="E51" s="51">
        <f>E49*$B$51</f>
        <v>49.664999999999999</v>
      </c>
      <c r="F51" s="6" t="s">
        <v>39</v>
      </c>
      <c r="G51" s="11">
        <f>E51/37</f>
        <v>1.3422972972972973</v>
      </c>
      <c r="H51" s="9"/>
      <c r="I51" s="6"/>
      <c r="J51" s="51">
        <f>J49*$B$51</f>
        <v>80.814999999999998</v>
      </c>
      <c r="K51" s="53" t="str">
        <f>F51</f>
        <v>timer</v>
      </c>
      <c r="L51" s="11">
        <f>J51/37</f>
        <v>2.1841891891891891</v>
      </c>
      <c r="M51" s="9"/>
      <c r="N51" s="6"/>
      <c r="O51" s="51">
        <f>O49*$B$51</f>
        <v>130.47999999999999</v>
      </c>
      <c r="P51" s="53" t="str">
        <f>K51</f>
        <v>timer</v>
      </c>
      <c r="Q51" s="11">
        <f>O51/37</f>
        <v>3.526486486486486</v>
      </c>
    </row>
    <row r="52" spans="1:17" x14ac:dyDescent="0.2">
      <c r="A52" s="49"/>
      <c r="C52" s="9"/>
      <c r="D52" s="6"/>
      <c r="E52" s="51"/>
      <c r="F52" s="6"/>
      <c r="G52" s="11"/>
      <c r="H52" s="9"/>
      <c r="I52" s="6"/>
      <c r="J52" s="51"/>
      <c r="K52" s="6"/>
      <c r="L52" s="11"/>
      <c r="M52" s="9"/>
      <c r="N52" s="6"/>
      <c r="O52" s="51"/>
      <c r="P52" s="6"/>
      <c r="Q52" s="11"/>
    </row>
    <row r="53" spans="1:17" x14ac:dyDescent="0.2">
      <c r="A53" s="49"/>
      <c r="C53" s="9"/>
      <c r="D53" s="6"/>
      <c r="E53" s="51"/>
      <c r="F53" s="6"/>
      <c r="G53" s="11"/>
      <c r="H53" s="9"/>
      <c r="I53" s="6"/>
      <c r="J53" s="51"/>
      <c r="K53" s="6"/>
      <c r="L53" s="11"/>
      <c r="M53" s="9"/>
      <c r="N53" s="6"/>
      <c r="O53" s="51"/>
      <c r="P53" s="6"/>
      <c r="Q53" s="11"/>
    </row>
    <row r="54" spans="1:17" x14ac:dyDescent="0.2">
      <c r="A54" s="49" t="s">
        <v>47</v>
      </c>
      <c r="C54" s="9"/>
      <c r="D54" s="6"/>
      <c r="E54" s="51"/>
      <c r="F54" s="6"/>
      <c r="G54" s="11">
        <f>SUM(G37:G53)</f>
        <v>13.662297297297297</v>
      </c>
      <c r="H54" s="9"/>
      <c r="I54" s="6"/>
      <c r="J54" s="51"/>
      <c r="K54" s="6"/>
      <c r="L54" s="11">
        <f>SUM(L37:L53)</f>
        <v>13.318139189189187</v>
      </c>
      <c r="M54" s="9"/>
      <c r="N54" s="6"/>
      <c r="O54" s="51"/>
      <c r="P54" s="6"/>
      <c r="Q54" s="11">
        <f>SUM(Q37:Q53)</f>
        <v>26.980436486486486</v>
      </c>
    </row>
    <row r="55" spans="1:17" x14ac:dyDescent="0.2">
      <c r="A55" s="49" t="s">
        <v>41</v>
      </c>
      <c r="B55" s="61">
        <v>0.02</v>
      </c>
      <c r="C55" s="9"/>
      <c r="D55" s="6"/>
      <c r="E55" s="6"/>
      <c r="F55" s="6"/>
      <c r="G55" s="11">
        <f>-G54*$B$55</f>
        <v>-0.27324594594594592</v>
      </c>
      <c r="H55" s="9"/>
      <c r="I55" s="6"/>
      <c r="J55" s="6"/>
      <c r="K55" s="6"/>
      <c r="L55" s="11">
        <f>-L54*$B$55</f>
        <v>-0.26636278378378375</v>
      </c>
      <c r="M55" s="9"/>
      <c r="N55" s="6"/>
      <c r="O55" s="6"/>
      <c r="P55" s="6"/>
      <c r="Q55" s="11">
        <f>-Q54*$B$55</f>
        <v>-0.53960872972972973</v>
      </c>
    </row>
    <row r="56" spans="1:17" s="71" customFormat="1" ht="13.5" thickBot="1" x14ac:dyDescent="0.25">
      <c r="A56" s="71" t="s">
        <v>47</v>
      </c>
      <c r="C56" s="72"/>
      <c r="D56" s="73"/>
      <c r="E56" s="73"/>
      <c r="F56" s="73"/>
      <c r="G56" s="68">
        <f>SUM(G51:G55)</f>
        <v>14.731348648648646</v>
      </c>
      <c r="H56" s="72"/>
      <c r="I56" s="73"/>
      <c r="J56" s="73"/>
      <c r="K56" s="73"/>
      <c r="L56" s="68">
        <f>SUM(L51:L55)</f>
        <v>15.235965594594592</v>
      </c>
      <c r="M56" s="72"/>
      <c r="N56" s="73"/>
      <c r="O56" s="73"/>
      <c r="P56" s="73"/>
      <c r="Q56" s="68">
        <f>SUM(Q51:Q55)</f>
        <v>29.967314243243244</v>
      </c>
    </row>
    <row r="57" spans="1:17" ht="13.5" thickTop="1" x14ac:dyDescent="0.2">
      <c r="C57" s="9"/>
      <c r="D57" s="6"/>
      <c r="E57" s="6"/>
      <c r="F57" s="6"/>
      <c r="G57" s="11"/>
      <c r="H57" s="9"/>
      <c r="I57" s="6"/>
      <c r="J57" s="6"/>
      <c r="K57" s="6"/>
      <c r="L57" s="11"/>
      <c r="M57" s="9"/>
      <c r="N57" s="6"/>
      <c r="O57" s="6"/>
      <c r="P57" s="6"/>
      <c r="Q57" s="11"/>
    </row>
    <row r="58" spans="1:17" x14ac:dyDescent="0.2">
      <c r="C58" s="9"/>
      <c r="D58" s="6"/>
      <c r="E58" s="6"/>
      <c r="F58" s="6"/>
      <c r="G58" s="11"/>
      <c r="H58" s="9"/>
      <c r="I58" s="6"/>
      <c r="J58" s="6"/>
      <c r="K58" s="6"/>
      <c r="L58" s="11"/>
      <c r="M58" s="9"/>
      <c r="N58" s="6"/>
      <c r="O58" s="6"/>
      <c r="P58" s="6"/>
      <c r="Q58" s="57"/>
    </row>
    <row r="59" spans="1:17" ht="13.5" thickBot="1" x14ac:dyDescent="0.25">
      <c r="C59" s="5"/>
      <c r="D59" s="69"/>
      <c r="E59" s="69"/>
      <c r="F59" s="69"/>
      <c r="G59" s="70"/>
      <c r="H59" s="5"/>
      <c r="I59" s="69"/>
      <c r="J59" s="69"/>
      <c r="K59" s="69"/>
      <c r="L59" s="70"/>
      <c r="M59" s="5"/>
      <c r="N59" s="69"/>
      <c r="O59" s="69"/>
      <c r="P59" s="69"/>
      <c r="Q59" s="70"/>
    </row>
    <row r="60" spans="1:17" customFormat="1" x14ac:dyDescent="0.2"/>
    <row r="61" spans="1:17" x14ac:dyDescent="0.2">
      <c r="A61" s="49" t="s">
        <v>61</v>
      </c>
      <c r="C61" s="6"/>
      <c r="D61" s="6"/>
      <c r="E61" s="6"/>
      <c r="F61" s="6"/>
      <c r="G61" s="13"/>
      <c r="H61" s="6"/>
      <c r="I61" s="6"/>
      <c r="J61" s="6"/>
      <c r="K61" s="6"/>
      <c r="L61" s="13"/>
      <c r="M61" s="6"/>
      <c r="N61" s="6"/>
      <c r="O61" s="6"/>
      <c r="P61" s="6"/>
      <c r="Q61" s="13"/>
    </row>
    <row r="63" spans="1:17" x14ac:dyDescent="0.2">
      <c r="A63" s="65" t="s">
        <v>51</v>
      </c>
    </row>
    <row r="64" spans="1:17" x14ac:dyDescent="0.2">
      <c r="A64" s="49" t="s">
        <v>49</v>
      </c>
    </row>
    <row r="65" spans="1:12" x14ac:dyDescent="0.2">
      <c r="A65" s="49"/>
    </row>
    <row r="66" spans="1:12" x14ac:dyDescent="0.2">
      <c r="A66" s="49"/>
    </row>
    <row r="67" spans="1:12" x14ac:dyDescent="0.2">
      <c r="L67" s="75"/>
    </row>
  </sheetData>
  <dataConsolidate/>
  <pageMargins left="0.74803149606299213" right="0.74803149606299213" top="0.39370078740157483" bottom="0.47244094488188981" header="0" footer="0"/>
  <pageSetup paperSize="9" scale="61" fitToWidth="4" orientation="landscape" r:id="rId1"/>
  <headerFooter alignWithMargins="0">
    <oddFooter>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2014-02-04T12:00:00+00:00</MeetingStartDate>
    <EnclosureFileNumber xmlns="d08b57ff-b9b7-4581-975d-98f87b579a51">3717/14</EnclosureFileNumber>
    <AgendaId xmlns="d08b57ff-b9b7-4581-975d-98f87b579a51">2120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1480632</FusionId>
    <AgendaAccessLevelName xmlns="d08b57ff-b9b7-4581-975d-98f87b579a51">Åben</AgendaAccessLevelName>
    <UNC xmlns="d08b57ff-b9b7-4581-975d-98f87b579a51">1314435</UNC>
    <MeetingTitle xmlns="d08b57ff-b9b7-4581-975d-98f87b579a51">04-02-2014</MeetingTitle>
    <MeetingDateAndTime xmlns="d08b57ff-b9b7-4581-975d-98f87b579a51">04-02-2014 fra 13:00 - 16:15</MeetingDateAndTime>
    <MeetingEndDate xmlns="d08b57ff-b9b7-4581-975d-98f87b579a51">2014-02-04T15:15:00+00:00</MeetingEndDate>
    <PWDescription xmlns="d08b57ff-b9b7-4581-975d-98f87b579a51">Model  A pr. 1.8.2014 - specialklasser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6AA2E2B-BB8A-425E-90C9-CD4D841A38F9}"/>
</file>

<file path=customXml/itemProps2.xml><?xml version="1.0" encoding="utf-8"?>
<ds:datastoreItem xmlns:ds="http://schemas.openxmlformats.org/officeDocument/2006/customXml" ds:itemID="{D0302AA4-5010-4276-AE62-AA10AF610A0F}"/>
</file>

<file path=customXml/itemProps3.xml><?xml version="1.0" encoding="utf-8"?>
<ds:datastoreItem xmlns:ds="http://schemas.openxmlformats.org/officeDocument/2006/customXml" ds:itemID="{401B5106-AF12-4811-A18C-B19A02532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Tistrup og Lykkesgård</vt:lpstr>
    </vt:vector>
  </TitlesOfParts>
  <Company>Anemonevej 28,  Alslev, 6800  Varde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UBU-04-02-2014 - Bilag 23.04 Model  A pr 182014 - specialklasser</dc:title>
  <dc:subject>ØVRIGE</dc:subject>
  <dc:creator>LIAN</dc:creator>
  <dc:description>Tildeling i skoleåret 2012-13 med ændringer jf arbejstidsforhandlinger vedr. 2013</dc:description>
  <cp:lastModifiedBy>Lissy Andersen</cp:lastModifiedBy>
  <cp:lastPrinted>2014-01-29T08:06:41Z</cp:lastPrinted>
  <dcterms:created xsi:type="dcterms:W3CDTF">2001-03-18T04:14:32Z</dcterms:created>
  <dcterms:modified xsi:type="dcterms:W3CDTF">2014-01-30T10:31:49Z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